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mc:AlternateContent xmlns:mc="http://schemas.openxmlformats.org/markup-compatibility/2006">
    <mc:Choice Requires="x15">
      <x15ac:absPath xmlns:x15ac="http://schemas.microsoft.com/office/spreadsheetml/2010/11/ac" url="C:\Users\terekhovavyu\Desktop\"/>
    </mc:Choice>
  </mc:AlternateContent>
  <xr:revisionPtr revIDLastSave="0" documentId="13_ncr:1_{6FF0E2EA-82B6-4E3D-B6D0-5E4BC48FF992}" xr6:coauthVersionLast="36" xr6:coauthVersionMax="36" xr10:uidLastSave="{00000000-0000-0000-0000-000000000000}"/>
  <bookViews>
    <workbookView xWindow="0" yWindow="0" windowWidth="28800" windowHeight="12225" firstSheet="1" activeTab="1" xr2:uid="{00000000-000D-0000-FFFF-FFFF00000000}"/>
  </bookViews>
  <sheets>
    <sheet name="Требования" sheetId="10" state="hidden" r:id="rId1"/>
    <sheet name="Расчетная цена договора форма" sheetId="14" r:id="rId2"/>
    <sheet name="Таблица № 1 ФКП" sheetId="11" r:id="rId3"/>
    <sheet name="П.3 ФКП" sheetId="19" r:id="rId4"/>
  </sheets>
  <definedNames>
    <definedName name="_ftn1" localSheetId="2">'Таблица № 1 ФКП'!#REF!</definedName>
    <definedName name="_ftn2" localSheetId="2">'Таблица № 1 ФКП'!#REF!</definedName>
    <definedName name="_ftnref1" localSheetId="2">'Таблица № 1 ФКП'!$A$2</definedName>
    <definedName name="_ftnref2" localSheetId="2">'Таблица № 1 ФКП'!$A$8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4" l="1"/>
  <c r="C13" i="14"/>
  <c r="C15" i="14"/>
  <c r="C17" i="14"/>
  <c r="C20" i="14"/>
  <c r="B7" i="11" l="1"/>
  <c r="D3" i="14" l="1"/>
  <c r="B39" i="14"/>
  <c r="B38" i="14"/>
  <c r="B14" i="14"/>
  <c r="D4" i="10"/>
  <c r="D5" i="10"/>
  <c r="D6" i="10"/>
  <c r="D3" i="10"/>
  <c r="A4" i="19" l="1"/>
  <c r="A1" i="19"/>
  <c r="D10" i="14"/>
  <c r="D9" i="14"/>
  <c r="D8" i="14"/>
  <c r="D7" i="14"/>
  <c r="D6" i="14"/>
  <c r="Q10" i="14"/>
  <c r="Q7" i="14"/>
  <c r="Q8" i="14"/>
  <c r="Q9" i="14"/>
  <c r="Q6" i="14"/>
  <c r="A3" i="19" l="1"/>
  <c r="A2" i="19"/>
  <c r="A5" i="19" l="1"/>
  <c r="D4" i="14" l="1"/>
  <c r="F1" i="14"/>
  <c r="C21" i="14" l="1"/>
  <c r="C25" i="14"/>
  <c r="C29" i="14"/>
  <c r="C33" i="14"/>
  <c r="C37" i="14"/>
  <c r="C27" i="14"/>
  <c r="C22" i="14"/>
  <c r="C26" i="14"/>
  <c r="C30" i="14"/>
  <c r="C34" i="14"/>
  <c r="C35" i="14"/>
  <c r="C23" i="14"/>
  <c r="C24" i="14"/>
  <c r="C28" i="14"/>
  <c r="D28" i="14" s="1"/>
  <c r="C32" i="14"/>
  <c r="C36" i="14"/>
  <c r="C31" i="14"/>
  <c r="D31" i="14" s="1"/>
  <c r="D33" i="14"/>
  <c r="D39" i="14"/>
  <c r="B6" i="11"/>
  <c r="D23" i="14"/>
  <c r="D25" i="14"/>
  <c r="D32" i="14"/>
  <c r="B4" i="11"/>
  <c r="D27" i="14"/>
  <c r="D35" i="14"/>
  <c r="D21" i="14"/>
  <c r="D29" i="14"/>
  <c r="D37" i="14"/>
  <c r="D22" i="14"/>
  <c r="D24" i="14"/>
  <c r="D26" i="14"/>
  <c r="D30" i="14"/>
  <c r="D34" i="14"/>
  <c r="D36" i="14"/>
  <c r="D20" i="14" l="1"/>
  <c r="C38" i="14"/>
  <c r="C14" i="14"/>
  <c r="D17" i="14"/>
  <c r="B5" i="11"/>
  <c r="B40" i="14" l="1"/>
  <c r="D38" i="14"/>
  <c r="D14" i="14"/>
  <c r="B3" i="11"/>
  <c r="D40" i="14" l="1"/>
  <c r="D41" i="14" s="1"/>
  <c r="A47" i="14"/>
  <c r="B8" i="11" s="1"/>
  <c r="B2" i="11"/>
  <c r="D15" i="14"/>
</calcChain>
</file>

<file path=xl/sharedStrings.xml><?xml version="1.0" encoding="utf-8"?>
<sst xmlns="http://schemas.openxmlformats.org/spreadsheetml/2006/main" count="85" uniqueCount="79">
  <si>
    <t>Модель, марка</t>
  </si>
  <si>
    <t>руб. (для оценки)</t>
  </si>
  <si>
    <t>1 юань =</t>
  </si>
  <si>
    <t>Стоимость обслуживания на 4 000 мтч, рублей/юаней без НДС</t>
  </si>
  <si>
    <t>юани</t>
  </si>
  <si>
    <t>рубли</t>
  </si>
  <si>
    <t>Валюта поставки</t>
  </si>
  <si>
    <t>Цена Товара (без учета доставки), без НДС</t>
  </si>
  <si>
    <t>Стоимость доставки Товара, без НДС</t>
  </si>
  <si>
    <t>Валюта проведения обслуживания</t>
  </si>
  <si>
    <t>Стоимость нормо-часа выполнения работ,  без НДС</t>
  </si>
  <si>
    <t>Поставка Товара, рублей/юаней без НДС</t>
  </si>
  <si>
    <t>Расчетная (услованя) цена договора, руб. без НДС</t>
  </si>
  <si>
    <t>50 мтч</t>
  </si>
  <si>
    <t>100 мтч</t>
  </si>
  <si>
    <t>250 мтч</t>
  </si>
  <si>
    <t>500 мтч</t>
  </si>
  <si>
    <t>750 мтч</t>
  </si>
  <si>
    <t>1000 мтч</t>
  </si>
  <si>
    <t>1250 мтч</t>
  </si>
  <si>
    <t>1500 мтч</t>
  </si>
  <si>
    <t>1750 мтч</t>
  </si>
  <si>
    <t>2000 мтч</t>
  </si>
  <si>
    <t>2250 мтч</t>
  </si>
  <si>
    <t>2500 мтч</t>
  </si>
  <si>
    <t>2750 мтч</t>
  </si>
  <si>
    <t>3000 мтч</t>
  </si>
  <si>
    <t>3250 мтч</t>
  </si>
  <si>
    <t>3500 мтч</t>
  </si>
  <si>
    <t>3750 мтч</t>
  </si>
  <si>
    <t>4000 мтч</t>
  </si>
  <si>
    <t>Наработка ричстакера и стоимость ТО (за 1 единицу)</t>
  </si>
  <si>
    <t>НМЦ договора</t>
  </si>
  <si>
    <t>НМЦ Товара</t>
  </si>
  <si>
    <t>Юани</t>
  </si>
  <si>
    <t>Рубли</t>
  </si>
  <si>
    <t>-</t>
  </si>
  <si>
    <t>Курс юаня</t>
  </si>
  <si>
    <t>НМЦ нормо-часа</t>
  </si>
  <si>
    <t>НМЦ ТО</t>
  </si>
  <si>
    <t>Предельная стоимость ТР</t>
  </si>
  <si>
    <t>Дней</t>
  </si>
  <si>
    <t>%</t>
  </si>
  <si>
    <t>Макс. срок поставки</t>
  </si>
  <si>
    <t>Макс. размер аванса</t>
  </si>
  <si>
    <t>Гарантия на шины</t>
  </si>
  <si>
    <t>Гарантия на ричстакер</t>
  </si>
  <si>
    <t>месяца</t>
  </si>
  <si>
    <t>мтч</t>
  </si>
  <si>
    <t>Гарантия на металлоконструкцию</t>
  </si>
  <si>
    <t>Гарантия на покраску</t>
  </si>
  <si>
    <t>мес</t>
  </si>
  <si>
    <t>Наименование</t>
  </si>
  <si>
    <t>Значение</t>
  </si>
  <si>
    <t>Необходимо заполнить</t>
  </si>
  <si>
    <t>Корректно</t>
  </si>
  <si>
    <t>Превышение требований</t>
  </si>
  <si>
    <t>Некорректное заполнение</t>
  </si>
  <si>
    <t>Проверка</t>
  </si>
  <si>
    <t>Срок поставки, календарных дней с даты подписания договора</t>
  </si>
  <si>
    <t>Гарантия</t>
  </si>
  <si>
    <t>Гарантия на шины, моточасов</t>
  </si>
  <si>
    <t>Гарантия на металлоконструкцию, моточасов</t>
  </si>
  <si>
    <t>Гарантия на покраску, месяцев с даты подписания акта приема-передачи ричстакера</t>
  </si>
  <si>
    <t>Нарушение требований</t>
  </si>
  <si>
    <t>Стоимость Товара с учетом доставки, без НДС</t>
  </si>
  <si>
    <t>Размер аванса за Товар, без НДС</t>
  </si>
  <si>
    <t>Заполнено</t>
  </si>
  <si>
    <t>Размер аванса за Товар, (рублей, юаней) без НДС</t>
  </si>
  <si>
    <r>
      <t>Гарантия на ричстакер,</t>
    </r>
    <r>
      <rPr>
        <b/>
        <sz val="11"/>
        <color theme="1"/>
        <rFont val="Calibri"/>
        <family val="2"/>
        <charset val="204"/>
        <scheme val="minor"/>
      </rPr>
      <t xml:space="preserve"> месяцев</t>
    </r>
    <r>
      <rPr>
        <sz val="11"/>
        <color theme="1"/>
        <rFont val="Calibri"/>
        <family val="2"/>
        <scheme val="minor"/>
      </rPr>
      <t xml:space="preserve"> с даты подписания акта приема-передачи ричстакера</t>
    </r>
  </si>
  <si>
    <r>
      <t xml:space="preserve">Гарантия на ричстакер, </t>
    </r>
    <r>
      <rPr>
        <b/>
        <sz val="11"/>
        <color theme="1"/>
        <rFont val="Calibri"/>
        <family val="2"/>
        <charset val="204"/>
        <scheme val="minor"/>
      </rPr>
      <t>моточасов</t>
    </r>
  </si>
  <si>
    <t>ИТОГО,  Стоимость обслуживания на 4 000 мтч, без НДС</t>
  </si>
  <si>
    <t>Предельная стоимость работ по текущему ремонту (ТР), руб. без НДС</t>
  </si>
  <si>
    <t>Предельная стоимость работ по текущему ремонту, руб. без НДС</t>
  </si>
  <si>
    <t>Срок поставки Товара</t>
  </si>
  <si>
    <t>Цена Товара с учетом доставки,(рублей/юаней)  без НДС</t>
  </si>
  <si>
    <t>Стоимость нормо-часа выполнения работ, (рублей/юаней) без НДС</t>
  </si>
  <si>
    <t>Расчетная (условная) цена договора , (рублей) без НДС</t>
  </si>
  <si>
    <t>Стоимость проведения ТО на 4000 моточасов, (рублей/юаней)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</si>
</sst>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_-;\-* #,##0.00_-;_-* &quot;-&quot;??_-;_-@_-"/>
    <numFmt numFmtId="165" formatCode="[$€-2]\ #,##0.00"/>
    <numFmt numFmtId="166" formatCode="#,##0.00\ &quot;₽&quot;"/>
    <numFmt numFmtId="167" formatCode="_ [$¥-804]* #,##0.00_ ;_ [$¥-804]* \-#,##0.00_ ;_ [$¥-804]* &quot;-&quot;??_ ;_ @_ "/>
    <numFmt numFmtId="168" formatCode="_-* #,##0.0000_-;\-* #,##0.0000_-;_-* &quot;-&quot;??_-;_-@_-"/>
    <numFmt numFmtId="169" formatCode="[$¥-804]#,##0.00"/>
  </numFmts>
  <fonts count="13" x14ac:knownFonts="1">
    <font>
      <sz val="11"/>
      <color theme="1"/>
      <name val="Calibri"/>
      <family val="2"/>
      <scheme val="minor"/>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Arial"/>
      <family val="2"/>
      <charset val="204"/>
    </font>
    <font>
      <sz val="11"/>
      <color theme="1"/>
      <name val="Calibri"/>
      <family val="2"/>
      <scheme val="minor"/>
    </font>
    <font>
      <b/>
      <sz val="14"/>
      <name val="Times New Roman"/>
      <family val="1"/>
      <charset val="204"/>
    </font>
    <font>
      <sz val="12"/>
      <color theme="1"/>
      <name val="Times New Roman"/>
      <family val="1"/>
      <charset val="204"/>
    </font>
    <font>
      <sz val="13"/>
      <color rgb="FF000000"/>
      <name val="Times New Roman"/>
      <family val="1"/>
      <charset val="204"/>
    </font>
    <font>
      <i/>
      <sz val="13"/>
      <color rgb="FF000000"/>
      <name val="Times New Roman"/>
      <family val="1"/>
      <charset val="204"/>
    </font>
    <font>
      <i/>
      <sz val="12"/>
      <color theme="1"/>
      <name val="Times New Roman"/>
      <family val="1"/>
      <charset val="204"/>
    </font>
    <font>
      <sz val="13"/>
      <color theme="1"/>
      <name val="Times New Roman"/>
      <family val="1"/>
      <charset val="204"/>
    </font>
    <font>
      <b/>
      <sz val="11"/>
      <color theme="1"/>
      <name val="Calibri"/>
      <family val="2"/>
      <charset val="204"/>
      <scheme val="minor"/>
    </font>
  </fonts>
  <fills count="12">
    <fill>
      <patternFill patternType="none"/>
    </fill>
    <fill>
      <patternFill patternType="gray125"/>
    </fill>
    <fill>
      <patternFill patternType="solid">
        <fgColor rgb="FF00FF00"/>
        <bgColor rgb="FF00FF00"/>
      </patternFill>
    </fill>
    <fill>
      <patternFill patternType="solid">
        <fgColor rgb="FFFFC000"/>
        <bgColor indexed="64"/>
      </patternFill>
    </fill>
    <fill>
      <patternFill patternType="solid">
        <fgColor rgb="FF00FF00"/>
        <bgColor indexed="64"/>
      </patternFill>
    </fill>
    <fill>
      <patternFill patternType="solid">
        <fgColor theme="0"/>
        <bgColor rgb="FF00FF00"/>
      </patternFill>
    </fill>
    <fill>
      <patternFill patternType="solid">
        <fgColor rgb="FFFFFF00"/>
        <bgColor indexed="64"/>
      </patternFill>
    </fill>
    <fill>
      <patternFill patternType="solid">
        <fgColor theme="8" tint="0.59999389629810485"/>
        <bgColor rgb="FF00FF00"/>
      </patternFill>
    </fill>
    <fill>
      <patternFill patternType="solid">
        <fgColor theme="0" tint="-4.9989318521683403E-2"/>
        <bgColor rgb="FF00FF00"/>
      </patternFill>
    </fill>
    <fill>
      <patternFill patternType="solid">
        <fgColor theme="7" tint="0.79998168889431442"/>
        <bgColor indexed="64"/>
      </patternFill>
    </fill>
    <fill>
      <patternFill patternType="solid">
        <fgColor theme="7" tint="0.79998168889431442"/>
        <bgColor theme="0"/>
      </patternFill>
    </fill>
    <fill>
      <patternFill patternType="solid">
        <fgColor theme="1"/>
        <bgColor indexed="64"/>
      </patternFill>
    </fill>
  </fills>
  <borders count="3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indexed="64"/>
      </top>
      <bottom style="thin">
        <color indexed="64"/>
      </bottom>
      <diagonal/>
    </border>
    <border>
      <left style="medium">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style="medium">
        <color indexed="64"/>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164" fontId="5" fillId="0" borderId="0" applyFont="0" applyFill="0" applyBorder="0" applyAlignment="0" applyProtection="0"/>
    <xf numFmtId="44" fontId="5" fillId="0" borderId="0" applyFont="0" applyFill="0" applyBorder="0" applyAlignment="0" applyProtection="0"/>
  </cellStyleXfs>
  <cellXfs count="92">
    <xf numFmtId="0" fontId="0" fillId="0" borderId="0" xfId="0"/>
    <xf numFmtId="166" fontId="0" fillId="0" borderId="0" xfId="0" applyNumberFormat="1"/>
    <xf numFmtId="166" fontId="0" fillId="0" borderId="0" xfId="0" applyNumberFormat="1" applyAlignment="1">
      <alignment horizontal="center" vertical="center"/>
    </xf>
    <xf numFmtId="169" fontId="0" fillId="0" borderId="0" xfId="0" applyNumberFormat="1" applyAlignment="1">
      <alignment horizontal="center" vertical="center"/>
    </xf>
    <xf numFmtId="0" fontId="0" fillId="0" borderId="0" xfId="0" applyNumberFormat="1" applyAlignment="1">
      <alignment horizontal="center" vertical="center"/>
    </xf>
    <xf numFmtId="10" fontId="0" fillId="0" borderId="0" xfId="0" applyNumberFormat="1" applyAlignment="1">
      <alignment horizontal="center" vertical="center"/>
    </xf>
    <xf numFmtId="0" fontId="8" fillId="0" borderId="15" xfId="0" applyFont="1" applyBorder="1" applyAlignment="1">
      <alignment horizontal="center" vertical="center" wrapText="1"/>
    </xf>
    <xf numFmtId="0" fontId="7"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0" fillId="0" borderId="15" xfId="0" applyNumberFormat="1" applyFont="1" applyBorder="1" applyAlignment="1">
      <alignment horizontal="center" vertical="center" wrapText="1"/>
    </xf>
    <xf numFmtId="166" fontId="11" fillId="0" borderId="15" xfId="0" applyNumberFormat="1" applyFont="1" applyBorder="1" applyAlignment="1">
      <alignment horizontal="center" vertical="center" wrapText="1"/>
    </xf>
    <xf numFmtId="0" fontId="0" fillId="0" borderId="0" xfId="0" applyAlignment="1">
      <alignment horizontal="center"/>
    </xf>
    <xf numFmtId="0" fontId="0" fillId="0" borderId="0" xfId="0" applyAlignment="1">
      <alignment vertical="center"/>
    </xf>
    <xf numFmtId="0" fontId="0" fillId="0" borderId="15" xfId="0" applyFill="1" applyBorder="1" applyAlignment="1">
      <alignment wrapText="1"/>
    </xf>
    <xf numFmtId="0" fontId="8" fillId="0" borderId="36" xfId="0" applyFont="1" applyBorder="1" applyAlignment="1">
      <alignment horizontal="center" vertical="center" wrapText="1"/>
    </xf>
    <xf numFmtId="0" fontId="9" fillId="0" borderId="35" xfId="0" applyFont="1" applyBorder="1" applyAlignment="1">
      <alignment horizontal="center" vertical="center" wrapText="1"/>
    </xf>
    <xf numFmtId="0" fontId="0" fillId="0" borderId="0" xfId="0" applyFill="1" applyAlignment="1">
      <alignment horizontal="center" wrapText="1"/>
    </xf>
    <xf numFmtId="0" fontId="0" fillId="0" borderId="0" xfId="0" applyAlignment="1">
      <alignment horizontal="left" vertical="center" wrapText="1"/>
    </xf>
    <xf numFmtId="0" fontId="3" fillId="0" borderId="7" xfId="0" applyFont="1" applyBorder="1" applyAlignment="1" applyProtection="1">
      <alignment horizontal="center" vertical="center"/>
      <protection hidden="1"/>
    </xf>
    <xf numFmtId="0" fontId="3" fillId="0" borderId="8" xfId="0" applyFont="1" applyBorder="1" applyAlignment="1" applyProtection="1">
      <alignment horizontal="center" vertical="center"/>
      <protection hidden="1"/>
    </xf>
    <xf numFmtId="0" fontId="1" fillId="0" borderId="19" xfId="0" applyFont="1" applyBorder="1" applyAlignment="1" applyProtection="1">
      <alignment horizontal="center" vertical="center"/>
      <protection hidden="1"/>
    </xf>
    <xf numFmtId="0" fontId="3" fillId="10" borderId="7" xfId="0" applyFont="1" applyFill="1" applyBorder="1" applyAlignment="1" applyProtection="1">
      <alignment horizontal="left"/>
      <protection hidden="1"/>
    </xf>
    <xf numFmtId="0" fontId="3" fillId="10" borderId="8" xfId="0" applyFont="1" applyFill="1" applyBorder="1" applyAlignment="1" applyProtection="1">
      <alignment horizontal="left"/>
      <protection hidden="1"/>
    </xf>
    <xf numFmtId="0" fontId="1" fillId="11" borderId="3" xfId="0" applyFont="1" applyFill="1" applyBorder="1" applyProtection="1">
      <protection hidden="1"/>
    </xf>
    <xf numFmtId="0" fontId="1" fillId="0" borderId="0" xfId="0" applyFont="1" applyProtection="1">
      <protection hidden="1"/>
    </xf>
    <xf numFmtId="168" fontId="1" fillId="7" borderId="3" xfId="2" applyNumberFormat="1" applyFont="1" applyFill="1" applyBorder="1" applyAlignment="1" applyProtection="1">
      <alignment horizontal="center" vertical="center"/>
      <protection hidden="1"/>
    </xf>
    <xf numFmtId="0" fontId="1" fillId="0" borderId="5" xfId="0" applyFont="1" applyBorder="1" applyAlignment="1" applyProtection="1">
      <alignment horizontal="left"/>
      <protection hidden="1"/>
    </xf>
    <xf numFmtId="3" fontId="1" fillId="0" borderId="3" xfId="0" applyNumberFormat="1" applyFont="1" applyBorder="1" applyAlignment="1" applyProtection="1">
      <alignment horizontal="center" vertical="center"/>
      <protection hidden="1"/>
    </xf>
    <xf numFmtId="0" fontId="1" fillId="0" borderId="4" xfId="0" applyFont="1" applyBorder="1" applyAlignment="1" applyProtection="1">
      <alignment horizontal="left"/>
      <protection hidden="1"/>
    </xf>
    <xf numFmtId="3" fontId="1" fillId="0" borderId="25" xfId="0" applyNumberFormat="1" applyFont="1" applyBorder="1" applyAlignment="1" applyProtection="1">
      <alignment horizontal="center" vertical="center"/>
      <protection hidden="1"/>
    </xf>
    <xf numFmtId="0" fontId="3" fillId="10" borderId="34" xfId="0" applyFont="1" applyFill="1" applyBorder="1" applyAlignment="1" applyProtection="1">
      <alignment horizontal="left"/>
      <protection hidden="1"/>
    </xf>
    <xf numFmtId="3" fontId="1" fillId="0" borderId="33" xfId="0" applyNumberFormat="1" applyFont="1" applyBorder="1" applyAlignment="1" applyProtection="1">
      <alignment horizontal="center" vertical="center"/>
      <protection hidden="1"/>
    </xf>
    <xf numFmtId="0" fontId="0" fillId="0" borderId="27" xfId="0" applyBorder="1" applyAlignment="1" applyProtection="1">
      <alignment vertical="center"/>
      <protection hidden="1"/>
    </xf>
    <xf numFmtId="165" fontId="1" fillId="0" borderId="23" xfId="0" applyNumberFormat="1" applyFont="1" applyBorder="1" applyAlignment="1" applyProtection="1">
      <alignment horizontal="center" vertical="center" wrapText="1"/>
      <protection hidden="1"/>
    </xf>
    <xf numFmtId="0" fontId="0" fillId="0" borderId="28" xfId="0" applyBorder="1" applyAlignment="1" applyProtection="1">
      <alignment vertical="center"/>
      <protection hidden="1"/>
    </xf>
    <xf numFmtId="165" fontId="1" fillId="0" borderId="22" xfId="0" applyNumberFormat="1" applyFont="1" applyBorder="1" applyAlignment="1" applyProtection="1">
      <alignment horizontal="center" vertical="center" wrapText="1"/>
      <protection hidden="1"/>
    </xf>
    <xf numFmtId="0" fontId="0" fillId="0" borderId="29" xfId="0" applyBorder="1" applyAlignment="1" applyProtection="1">
      <alignment vertical="center"/>
      <protection hidden="1"/>
    </xf>
    <xf numFmtId="165" fontId="1" fillId="0" borderId="24" xfId="0" applyNumberFormat="1" applyFont="1" applyBorder="1" applyAlignment="1" applyProtection="1">
      <alignment horizontal="center" vertical="center" wrapText="1"/>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3" fontId="1" fillId="11" borderId="14" xfId="0" applyNumberFormat="1" applyFont="1" applyFill="1" applyBorder="1" applyAlignment="1" applyProtection="1">
      <alignment horizontal="center" vertical="center"/>
      <protection hidden="1"/>
    </xf>
    <xf numFmtId="0" fontId="1" fillId="0" borderId="5" xfId="0" applyFont="1" applyBorder="1" applyProtection="1">
      <protection hidden="1"/>
    </xf>
    <xf numFmtId="165" fontId="1" fillId="11" borderId="22" xfId="0" applyNumberFormat="1" applyFont="1" applyFill="1" applyBorder="1" applyAlignment="1" applyProtection="1">
      <alignment horizontal="center" vertical="center"/>
      <protection hidden="1"/>
    </xf>
    <xf numFmtId="0" fontId="1" fillId="0" borderId="13" xfId="0" applyFont="1" applyBorder="1" applyProtection="1">
      <protection hidden="1"/>
    </xf>
    <xf numFmtId="167" fontId="1" fillId="0" borderId="3" xfId="0" applyNumberFormat="1" applyFont="1" applyBorder="1" applyAlignment="1" applyProtection="1">
      <alignment vertical="center"/>
      <protection hidden="1"/>
    </xf>
    <xf numFmtId="166" fontId="1" fillId="8" borderId="3" xfId="0" applyNumberFormat="1" applyFont="1" applyFill="1" applyBorder="1" applyAlignment="1" applyProtection="1">
      <alignment horizontal="center" vertical="center"/>
      <protection hidden="1"/>
    </xf>
    <xf numFmtId="0" fontId="1" fillId="0" borderId="9" xfId="0" applyFont="1" applyBorder="1" applyProtection="1">
      <protection hidden="1"/>
    </xf>
    <xf numFmtId="165" fontId="1" fillId="0" borderId="26" xfId="0" applyNumberFormat="1" applyFont="1" applyBorder="1" applyAlignment="1" applyProtection="1">
      <alignment horizontal="center" vertical="center" wrapText="1"/>
      <protection hidden="1"/>
    </xf>
    <xf numFmtId="0" fontId="2" fillId="9" borderId="7" xfId="0" applyFont="1" applyFill="1" applyBorder="1" applyAlignment="1" applyProtection="1">
      <alignment horizontal="left"/>
      <protection hidden="1"/>
    </xf>
    <xf numFmtId="0" fontId="2" fillId="9" borderId="8" xfId="0" applyFont="1" applyFill="1" applyBorder="1" applyAlignment="1" applyProtection="1">
      <alignment horizontal="left"/>
      <protection hidden="1"/>
    </xf>
    <xf numFmtId="0" fontId="1" fillId="11" borderId="1" xfId="0" applyFont="1" applyFill="1" applyBorder="1" applyProtection="1">
      <protection hidden="1"/>
    </xf>
    <xf numFmtId="0" fontId="2" fillId="0" borderId="20" xfId="0" applyFont="1" applyBorder="1" applyAlignment="1" applyProtection="1">
      <alignment horizontal="left"/>
      <protection hidden="1"/>
    </xf>
    <xf numFmtId="165" fontId="1" fillId="0" borderId="32" xfId="0" applyNumberFormat="1" applyFont="1" applyBorder="1" applyAlignment="1" applyProtection="1">
      <alignment horizontal="center" vertical="center" wrapText="1"/>
      <protection hidden="1"/>
    </xf>
    <xf numFmtId="0" fontId="2" fillId="0" borderId="7" xfId="0" applyFont="1" applyBorder="1" applyAlignment="1" applyProtection="1">
      <alignment horizontal="left"/>
      <protection hidden="1"/>
    </xf>
    <xf numFmtId="0" fontId="2" fillId="0" borderId="8" xfId="0" applyFont="1" applyBorder="1" applyAlignment="1" applyProtection="1">
      <alignment horizontal="left"/>
      <protection hidden="1"/>
    </xf>
    <xf numFmtId="0" fontId="2" fillId="0" borderId="9" xfId="0" applyFont="1" applyBorder="1" applyAlignment="1" applyProtection="1">
      <alignment horizontal="left"/>
      <protection hidden="1"/>
    </xf>
    <xf numFmtId="0" fontId="3" fillId="0" borderId="12"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1" fillId="0" borderId="6" xfId="0" applyFont="1" applyBorder="1" applyAlignment="1" applyProtection="1">
      <alignment horizontal="left"/>
      <protection hidden="1"/>
    </xf>
    <xf numFmtId="166" fontId="1" fillId="0" borderId="3" xfId="0" applyNumberFormat="1" applyFont="1" applyBorder="1" applyAlignment="1" applyProtection="1">
      <alignment vertical="center"/>
      <protection hidden="1"/>
    </xf>
    <xf numFmtId="0" fontId="1" fillId="0" borderId="2" xfId="0" applyFont="1" applyBorder="1" applyAlignment="1" applyProtection="1">
      <alignment horizontal="left"/>
      <protection hidden="1"/>
    </xf>
    <xf numFmtId="0" fontId="3" fillId="0" borderId="7" xfId="0" applyFont="1" applyBorder="1" applyAlignment="1" applyProtection="1">
      <alignment horizontal="left" vertical="center"/>
      <protection hidden="1"/>
    </xf>
    <xf numFmtId="167" fontId="3" fillId="0" borderId="1" xfId="3" applyNumberFormat="1" applyFont="1" applyFill="1" applyBorder="1" applyAlignment="1" applyProtection="1">
      <alignment horizontal="left" vertical="center"/>
      <protection hidden="1"/>
    </xf>
    <xf numFmtId="166" fontId="1" fillId="0" borderId="8" xfId="0" applyNumberFormat="1" applyFont="1" applyBorder="1" applyAlignment="1" applyProtection="1">
      <alignment horizontal="center" vertical="center"/>
      <protection hidden="1"/>
    </xf>
    <xf numFmtId="4" fontId="1" fillId="0" borderId="3" xfId="0" applyNumberFormat="1" applyFont="1" applyBorder="1" applyAlignment="1" applyProtection="1">
      <alignment horizontal="center" vertical="center"/>
      <protection hidden="1"/>
    </xf>
    <xf numFmtId="166" fontId="1" fillId="5" borderId="7" xfId="0" applyNumberFormat="1" applyFont="1" applyFill="1" applyBorder="1" applyAlignment="1" applyProtection="1">
      <alignment horizontal="center" vertical="center"/>
      <protection hidden="1"/>
    </xf>
    <xf numFmtId="166" fontId="1" fillId="5" borderId="8" xfId="0" applyNumberFormat="1" applyFont="1" applyFill="1" applyBorder="1" applyAlignment="1" applyProtection="1">
      <alignment horizontal="center" vertical="center"/>
      <protection hidden="1"/>
    </xf>
    <xf numFmtId="0" fontId="6" fillId="9" borderId="1" xfId="0" applyFont="1" applyFill="1" applyBorder="1" applyAlignment="1" applyProtection="1">
      <alignment horizontal="left" vertical="center" wrapText="1"/>
      <protection hidden="1"/>
    </xf>
    <xf numFmtId="166" fontId="1" fillId="6" borderId="7" xfId="0" applyNumberFormat="1" applyFont="1" applyFill="1" applyBorder="1" applyAlignment="1" applyProtection="1">
      <alignment horizontal="center" vertical="center"/>
      <protection hidden="1"/>
    </xf>
    <xf numFmtId="166" fontId="1" fillId="6" borderId="8" xfId="0" applyNumberFormat="1" applyFont="1" applyFill="1" applyBorder="1" applyAlignment="1" applyProtection="1">
      <alignment horizontal="center" vertical="center"/>
      <protection hidden="1"/>
    </xf>
    <xf numFmtId="166" fontId="1" fillId="0" borderId="21" xfId="0" applyNumberFormat="1" applyFont="1" applyBorder="1" applyAlignment="1" applyProtection="1">
      <alignment horizontal="center" vertical="center" wrapText="1"/>
      <protection hidden="1"/>
    </xf>
    <xf numFmtId="166" fontId="1" fillId="0" borderId="0" xfId="0" applyNumberFormat="1" applyFont="1" applyProtection="1">
      <protection hidden="1"/>
    </xf>
    <xf numFmtId="0" fontId="3" fillId="4" borderId="10" xfId="0" applyFont="1" applyFill="1" applyBorder="1" applyAlignment="1" applyProtection="1">
      <alignment horizontal="center" vertical="center"/>
      <protection locked="0" hidden="1"/>
    </xf>
    <xf numFmtId="0" fontId="3" fillId="4" borderId="16" xfId="0" applyFont="1" applyFill="1" applyBorder="1" applyAlignment="1" applyProtection="1">
      <alignment horizontal="center" vertical="center"/>
      <protection locked="0" hidden="1"/>
    </xf>
    <xf numFmtId="0" fontId="3" fillId="4" borderId="11" xfId="0" applyFont="1" applyFill="1" applyBorder="1" applyAlignment="1" applyProtection="1">
      <alignment horizontal="center" vertical="center"/>
      <protection locked="0" hidden="1"/>
    </xf>
    <xf numFmtId="0" fontId="3" fillId="4" borderId="17" xfId="0" applyFont="1" applyFill="1" applyBorder="1" applyAlignment="1" applyProtection="1">
      <alignment horizontal="center" vertical="center"/>
      <protection locked="0" hidden="1"/>
    </xf>
    <xf numFmtId="0" fontId="3" fillId="4" borderId="27" xfId="0" applyFont="1" applyFill="1" applyBorder="1" applyAlignment="1" applyProtection="1">
      <alignment horizontal="center" vertical="center"/>
      <protection locked="0" hidden="1"/>
    </xf>
    <xf numFmtId="0" fontId="3" fillId="4" borderId="23" xfId="0" applyFont="1" applyFill="1" applyBorder="1" applyAlignment="1" applyProtection="1">
      <alignment horizontal="center" vertical="center"/>
      <protection locked="0" hidden="1"/>
    </xf>
    <xf numFmtId="0" fontId="3" fillId="4" borderId="28" xfId="0" applyFont="1" applyFill="1" applyBorder="1" applyAlignment="1" applyProtection="1">
      <alignment horizontal="center" vertical="center"/>
      <protection locked="0" hidden="1"/>
    </xf>
    <xf numFmtId="0" fontId="3" fillId="4" borderId="22" xfId="0" applyFont="1" applyFill="1" applyBorder="1" applyAlignment="1" applyProtection="1">
      <alignment horizontal="center" vertical="center"/>
      <protection locked="0" hidden="1"/>
    </xf>
    <xf numFmtId="0" fontId="3" fillId="4" borderId="29" xfId="0" applyFont="1" applyFill="1" applyBorder="1" applyAlignment="1" applyProtection="1">
      <alignment horizontal="center" vertical="center"/>
      <protection locked="0" hidden="1"/>
    </xf>
    <xf numFmtId="0" fontId="3" fillId="4" borderId="24" xfId="0" applyFont="1" applyFill="1" applyBorder="1" applyAlignment="1" applyProtection="1">
      <alignment horizontal="center" vertical="center"/>
      <protection locked="0" hidden="1"/>
    </xf>
    <xf numFmtId="167" fontId="1" fillId="3" borderId="19" xfId="3" applyNumberFormat="1" applyFont="1" applyFill="1" applyBorder="1" applyAlignment="1" applyProtection="1">
      <alignment horizontal="right"/>
      <protection locked="0" hidden="1"/>
    </xf>
    <xf numFmtId="167" fontId="1" fillId="3" borderId="3" xfId="3" applyNumberFormat="1" applyFont="1" applyFill="1" applyBorder="1" applyAlignment="1" applyProtection="1">
      <alignment horizontal="right"/>
      <protection locked="0" hidden="1"/>
    </xf>
    <xf numFmtId="167" fontId="1" fillId="3" borderId="25" xfId="3" applyNumberFormat="1" applyFont="1" applyFill="1" applyBorder="1" applyAlignment="1" applyProtection="1">
      <alignment horizontal="right"/>
      <protection locked="0" hidden="1"/>
    </xf>
    <xf numFmtId="166" fontId="1" fillId="2" borderId="19" xfId="0" applyNumberFormat="1" applyFont="1" applyFill="1" applyBorder="1" applyAlignment="1" applyProtection="1">
      <alignment horizontal="center" vertical="center"/>
      <protection locked="0" hidden="1"/>
    </xf>
    <xf numFmtId="166" fontId="1" fillId="2" borderId="3" xfId="0" applyNumberFormat="1" applyFont="1" applyFill="1" applyBorder="1" applyAlignment="1" applyProtection="1">
      <alignment horizontal="center" vertical="center"/>
      <protection locked="0" hidden="1"/>
    </xf>
    <xf numFmtId="167" fontId="1" fillId="3" borderId="14" xfId="3" applyNumberFormat="1" applyFont="1" applyFill="1" applyBorder="1" applyAlignment="1" applyProtection="1">
      <alignment horizontal="right"/>
      <protection locked="0" hidden="1"/>
    </xf>
    <xf numFmtId="166" fontId="1" fillId="2" borderId="20" xfId="0" applyNumberFormat="1" applyFont="1" applyFill="1" applyBorder="1" applyAlignment="1" applyProtection="1">
      <alignment horizontal="center" vertical="center"/>
      <protection locked="0" hidden="1"/>
    </xf>
    <xf numFmtId="167" fontId="1" fillId="3" borderId="4" xfId="3" applyNumberFormat="1" applyFont="1" applyFill="1" applyBorder="1" applyAlignment="1" applyProtection="1">
      <alignment horizontal="right"/>
      <protection locked="0" hidden="1"/>
    </xf>
    <xf numFmtId="166" fontId="1" fillId="2" borderId="5" xfId="0" applyNumberFormat="1" applyFont="1" applyFill="1" applyBorder="1" applyAlignment="1" applyProtection="1">
      <alignment horizontal="center" vertical="center"/>
      <protection locked="0" hidden="1"/>
    </xf>
  </cellXfs>
  <cellStyles count="4">
    <cellStyle name="Денежный" xfId="3" builtinId="4"/>
    <cellStyle name="Обычный" xfId="0" builtinId="0"/>
    <cellStyle name="Обычный 2" xfId="1" xr:uid="{EEFB4815-7B5B-4DD3-B514-9433415A92C4}"/>
    <cellStyle name="Финансовый" xfId="2" builtinId="3"/>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rgb="FF92D050"/>
        </patternFill>
      </fill>
    </dxf>
    <dxf>
      <fill>
        <patternFill>
          <bgColor theme="7" tint="0.39994506668294322"/>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rgb="FF92D050"/>
        </patternFill>
      </fill>
    </dxf>
    <dxf>
      <fill>
        <patternFill>
          <bgColor theme="7" tint="0.39994506668294322"/>
        </patternFill>
      </fill>
    </dxf>
    <dxf>
      <fill>
        <patternFill>
          <bgColor theme="5" tint="-0.24994659260841701"/>
        </patternFill>
      </fill>
    </dxf>
    <dxf>
      <fill>
        <patternFill>
          <bgColor theme="5" tint="-0.24994659260841701"/>
        </patternFill>
      </fill>
    </dxf>
    <dxf>
      <fill>
        <patternFill>
          <bgColor rgb="FF92D050"/>
        </patternFill>
      </fill>
    </dxf>
    <dxf>
      <fill>
        <patternFill>
          <bgColor rgb="FF92D050"/>
        </patternFill>
      </fill>
    </dxf>
    <dxf>
      <fill>
        <patternFill>
          <bgColor rgb="FF92D050"/>
        </patternFill>
      </fill>
    </dxf>
    <dxf>
      <fill>
        <patternFill>
          <bgColor theme="5" tint="-0.24994659260841701"/>
        </patternFill>
      </fill>
    </dxf>
    <dxf>
      <fill>
        <patternFill>
          <bgColor rgb="FF92D050"/>
        </patternFill>
      </fill>
    </dxf>
    <dxf>
      <fill>
        <patternFill>
          <bgColor theme="7" tint="0.39994506668294322"/>
        </patternFill>
      </fill>
    </dxf>
    <dxf>
      <fill>
        <patternFill>
          <bgColor theme="5" tint="-0.24994659260841701"/>
        </patternFill>
      </fill>
    </dxf>
    <dxf>
      <fill>
        <patternFill>
          <bgColor theme="5" tint="-0.2499465926084170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ECD1D-2B00-4C37-812E-5F7A96E5D33A}">
  <sheetPr>
    <tabColor rgb="FFFF0000"/>
  </sheetPr>
  <dimension ref="A1:H26"/>
  <sheetViews>
    <sheetView workbookViewId="0">
      <selection activeCell="D4" sqref="D4"/>
    </sheetView>
  </sheetViews>
  <sheetFormatPr defaultRowHeight="15" x14ac:dyDescent="0.25"/>
  <cols>
    <col min="2" max="2" width="24.5703125" customWidth="1"/>
    <col min="3" max="3" width="15" customWidth="1"/>
    <col min="4" max="4" width="16.85546875" customWidth="1"/>
    <col min="5" max="5" width="16.42578125" customWidth="1"/>
    <col min="6" max="6" width="10.5703125" customWidth="1"/>
  </cols>
  <sheetData>
    <row r="1" spans="1:8" x14ac:dyDescent="0.25">
      <c r="C1" t="s">
        <v>35</v>
      </c>
      <c r="D1" t="s">
        <v>34</v>
      </c>
      <c r="F1" t="s">
        <v>37</v>
      </c>
      <c r="H1">
        <v>12.5657</v>
      </c>
    </row>
    <row r="2" spans="1:8" x14ac:dyDescent="0.25">
      <c r="A2" t="s">
        <v>32</v>
      </c>
      <c r="C2" s="2">
        <v>62535781.579999998</v>
      </c>
      <c r="D2" s="3" t="s">
        <v>36</v>
      </c>
    </row>
    <row r="3" spans="1:8" x14ac:dyDescent="0.25">
      <c r="A3" t="s">
        <v>33</v>
      </c>
      <c r="C3" s="2">
        <v>58980624.960000001</v>
      </c>
      <c r="D3" s="3">
        <f>C3/$H$1</f>
        <v>4693779.4917911459</v>
      </c>
      <c r="E3" s="1"/>
    </row>
    <row r="4" spans="1:8" x14ac:dyDescent="0.25">
      <c r="A4" t="s">
        <v>38</v>
      </c>
      <c r="C4" s="2">
        <v>4289.5</v>
      </c>
      <c r="D4" s="3">
        <f t="shared" ref="D4:D6" si="0">C4/$H$1</f>
        <v>341.3657814526847</v>
      </c>
      <c r="E4" s="1"/>
    </row>
    <row r="5" spans="1:8" x14ac:dyDescent="0.25">
      <c r="A5" t="s">
        <v>39</v>
      </c>
      <c r="C5" s="2">
        <v>1758695</v>
      </c>
      <c r="D5" s="3">
        <f t="shared" si="0"/>
        <v>139959.97039560071</v>
      </c>
      <c r="E5" s="1"/>
    </row>
    <row r="6" spans="1:8" x14ac:dyDescent="0.25">
      <c r="A6" t="s">
        <v>40</v>
      </c>
      <c r="C6" s="2">
        <v>1796461.58</v>
      </c>
      <c r="D6" s="3">
        <f t="shared" si="0"/>
        <v>142965.49973340126</v>
      </c>
    </row>
    <row r="7" spans="1:8" x14ac:dyDescent="0.25">
      <c r="C7" s="2" t="s">
        <v>41</v>
      </c>
      <c r="D7" s="3"/>
    </row>
    <row r="8" spans="1:8" x14ac:dyDescent="0.25">
      <c r="A8" t="s">
        <v>43</v>
      </c>
      <c r="C8" s="4">
        <v>165</v>
      </c>
      <c r="D8" s="3" t="s">
        <v>41</v>
      </c>
    </row>
    <row r="9" spans="1:8" x14ac:dyDescent="0.25">
      <c r="A9" t="s">
        <v>44</v>
      </c>
      <c r="C9" s="5">
        <v>0.75</v>
      </c>
      <c r="D9" s="3" t="s">
        <v>42</v>
      </c>
    </row>
    <row r="10" spans="1:8" x14ac:dyDescent="0.25">
      <c r="A10" t="s">
        <v>46</v>
      </c>
      <c r="C10" s="4">
        <v>24</v>
      </c>
      <c r="D10" s="3" t="s">
        <v>47</v>
      </c>
    </row>
    <row r="11" spans="1:8" x14ac:dyDescent="0.25">
      <c r="A11" t="s">
        <v>46</v>
      </c>
      <c r="C11" s="4">
        <v>4000</v>
      </c>
      <c r="D11" s="3" t="s">
        <v>48</v>
      </c>
    </row>
    <row r="12" spans="1:8" x14ac:dyDescent="0.25">
      <c r="A12" t="s">
        <v>45</v>
      </c>
      <c r="C12" s="4">
        <v>3000</v>
      </c>
      <c r="D12" s="3" t="s">
        <v>48</v>
      </c>
    </row>
    <row r="13" spans="1:8" x14ac:dyDescent="0.25">
      <c r="A13" t="s">
        <v>49</v>
      </c>
      <c r="C13" s="4">
        <v>10000</v>
      </c>
      <c r="D13" s="2" t="s">
        <v>48</v>
      </c>
    </row>
    <row r="14" spans="1:8" x14ac:dyDescent="0.25">
      <c r="A14" t="s">
        <v>50</v>
      </c>
      <c r="C14" s="4">
        <v>60</v>
      </c>
      <c r="D14" s="3" t="s">
        <v>51</v>
      </c>
    </row>
    <row r="15" spans="1:8" x14ac:dyDescent="0.25">
      <c r="C15" s="12"/>
      <c r="D15" s="3"/>
    </row>
    <row r="21" spans="1:1" x14ac:dyDescent="0.25">
      <c r="A21" t="s">
        <v>54</v>
      </c>
    </row>
    <row r="22" spans="1:1" x14ac:dyDescent="0.25">
      <c r="A22" t="s">
        <v>55</v>
      </c>
    </row>
    <row r="23" spans="1:1" x14ac:dyDescent="0.25">
      <c r="A23" t="s">
        <v>56</v>
      </c>
    </row>
    <row r="24" spans="1:1" x14ac:dyDescent="0.25">
      <c r="A24" t="s">
        <v>57</v>
      </c>
    </row>
    <row r="25" spans="1:1" x14ac:dyDescent="0.25">
      <c r="A25" t="s">
        <v>64</v>
      </c>
    </row>
    <row r="26" spans="1:1" x14ac:dyDescent="0.25">
      <c r="A26" t="s">
        <v>67</v>
      </c>
    </row>
  </sheetData>
  <sheetProtection password="CC51"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41E63-1DFD-451C-8CED-239D01333B78}">
  <sheetPr>
    <tabColor rgb="FFFFFF00"/>
  </sheetPr>
  <dimension ref="A1:Q47"/>
  <sheetViews>
    <sheetView showGridLines="0" tabSelected="1" zoomScale="85" zoomScaleNormal="85" workbookViewId="0">
      <selection activeCell="C12" sqref="C12"/>
    </sheetView>
  </sheetViews>
  <sheetFormatPr defaultRowHeight="15" x14ac:dyDescent="0.25"/>
  <cols>
    <col min="1" max="1" width="85.85546875" style="25" customWidth="1"/>
    <col min="2" max="2" width="23.28515625" style="25" customWidth="1"/>
    <col min="3" max="3" width="28.28515625" style="25" customWidth="1"/>
    <col min="4" max="4" width="47.28515625" style="25" customWidth="1"/>
    <col min="5" max="5" width="62.42578125" style="25" customWidth="1"/>
    <col min="6" max="6" width="15.7109375" style="25" customWidth="1"/>
    <col min="7" max="8" width="9.140625" style="25"/>
    <col min="9" max="26" width="9.140625" style="25" customWidth="1"/>
    <col min="27" max="16384" width="9.140625" style="25"/>
  </cols>
  <sheetData>
    <row r="1" spans="1:17" ht="45.75" customHeight="1" thickBot="1" x14ac:dyDescent="0.3">
      <c r="A1" s="19"/>
      <c r="B1" s="20"/>
      <c r="C1" s="20"/>
      <c r="D1" s="21" t="s">
        <v>58</v>
      </c>
      <c r="E1" s="25" t="s">
        <v>2</v>
      </c>
      <c r="F1" s="26">
        <f>Требования!H1</f>
        <v>12.5657</v>
      </c>
      <c r="G1" s="25" t="s">
        <v>1</v>
      </c>
    </row>
    <row r="2" spans="1:17" ht="15.75" customHeight="1" thickBot="1" x14ac:dyDescent="0.3">
      <c r="A2" s="22" t="s">
        <v>11</v>
      </c>
      <c r="B2" s="23"/>
      <c r="C2" s="23"/>
      <c r="D2" s="24"/>
    </row>
    <row r="3" spans="1:17" ht="17.25" customHeight="1" x14ac:dyDescent="0.25">
      <c r="A3" s="27" t="s">
        <v>0</v>
      </c>
      <c r="B3" s="73"/>
      <c r="C3" s="74"/>
      <c r="D3" s="28" t="str">
        <f>IF(B3="",Требования!A21,Требования!A26)</f>
        <v>Необходимо заполнить</v>
      </c>
    </row>
    <row r="4" spans="1:17" ht="15.75" thickBot="1" x14ac:dyDescent="0.3">
      <c r="A4" s="29" t="s">
        <v>59</v>
      </c>
      <c r="B4" s="75"/>
      <c r="C4" s="76"/>
      <c r="D4" s="30" t="str">
        <f>IF(B4="",Требования!A21,IF(B4&lt;=Требования!C8,Требования!$A$22,IF('Расчетная цена договора форма'!B4&gt;Требования!C8,IF(ISTEXT(B4)=TRUE,Требования!$A$24,Требования!$A$23))))</f>
        <v>Необходимо заполнить</v>
      </c>
    </row>
    <row r="5" spans="1:17" ht="15.75" thickBot="1" x14ac:dyDescent="0.3">
      <c r="A5" s="22" t="s">
        <v>60</v>
      </c>
      <c r="B5" s="23"/>
      <c r="C5" s="31"/>
      <c r="D5" s="32"/>
    </row>
    <row r="6" spans="1:17" x14ac:dyDescent="0.25">
      <c r="A6" s="33" t="s">
        <v>69</v>
      </c>
      <c r="B6" s="77"/>
      <c r="C6" s="78"/>
      <c r="D6" s="34" t="str">
        <f>IF(B6="",Требования!$A$21&amp;" цифрами и прописью",IF(B6&gt;=Требования!C10,Требования!$A$22,Требования!$A$25))</f>
        <v>Необходимо заполнить цифрами и прописью</v>
      </c>
      <c r="Q6" s="25" t="str">
        <f>SUBSTITUTE(SUBSTITUTE(SUBSTITUTE(TRIM(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IF(LEN(INT(B6))&gt;6,ROMAN(MID(INT(B6),1,LEN(INT(B6))-6)+0)&amp;" миллионов "&amp;ROMAN(MID(INT(B6),LEN(INT(B6))-5,3)+0)&amp;" тысяч "&amp;ROMAN(MID(INT(B6),LEN(INT(B6))-2,3)+0),IF(LEN(INT(B6))&gt;3,ROMAN(MID(INT(B6),1,LEN(INT(B6))-3)+0)&amp;" тысяч "&amp;ROMAN(MID(INT(B6),LEN(INT(B6))-2,3)+0),ROMAN(INT(B6)))),"DCCC"," восемьсот"),"DCC"," семьсот"),"DC"," шестьсот"),"CD"," четыреста"),"XC"," девяносто"),"CCC"," триста"),"CC"," двести"),"D"," пятьсот"),"CM"," девятьсот"),"C"," сто"),"XL"," сорок"),"LXXX"," восемьдесят"),"LXX"," семьдесят"),"LX"," шестьдесят"),"L"," пятьдесят"),"XXX"," тридцать"),"XX"," двадцать"),"XIX"," девятнадцать"),"XVIII"," восемнадцать"),"XVII"," семнадцать"),"XVI"," шестнадцать"),"XV"," пятнадцать"),"XIV"," четырнадцать"),"XIII"," тринадцать"),"XII"," двенадцать"),"XI"," одиннадцать"),"IX"," девять"),"X"," десять"),"VIII"," восемь"),"VII"," семь"),"VI"," шесть"),"IV"," четыре"),"V"," пять"),"III"," три"),"II"," два"),"I"," один"),"один тысяч","одна тысяча"),"два тысяч","две тысячи"),"три тысяч","три тысячи"),"четыре тысяч","четыре тысячи"),"один миллионов","один миллион"),"два миллионов","два миллиона"),"три миллионов","три миллиона"),"четыре миллионов","четыре миллиона")),"миллион тысяч","миллион"),"миллиона тысяч","миллиона"),"миллионов тысяч","миллионов")</f>
        <v/>
      </c>
    </row>
    <row r="7" spans="1:17" ht="18" customHeight="1" x14ac:dyDescent="0.25">
      <c r="A7" s="35" t="s">
        <v>70</v>
      </c>
      <c r="B7" s="79"/>
      <c r="C7" s="80"/>
      <c r="D7" s="36" t="str">
        <f>IF(B7="",Требования!$A$21&amp;" цифрами и прописью",IF(B7&gt;=Требования!C11,Требования!$A$22,Требования!$A$25))</f>
        <v>Необходимо заполнить цифрами и прописью</v>
      </c>
      <c r="Q7" s="25" t="str">
        <f t="shared" ref="Q7:Q10" si="0">SUBSTITUTE(SUBSTITUTE(SUBSTITUTE(TRIM(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IF(LEN(INT(B7))&gt;6,ROMAN(MID(INT(B7),1,LEN(INT(B7))-6)+0)&amp;" миллионов "&amp;ROMAN(MID(INT(B7),LEN(INT(B7))-5,3)+0)&amp;" тысяч "&amp;ROMAN(MID(INT(B7),LEN(INT(B7))-2,3)+0),IF(LEN(INT(B7))&gt;3,ROMAN(MID(INT(B7),1,LEN(INT(B7))-3)+0)&amp;" тысяч "&amp;ROMAN(MID(INT(B7),LEN(INT(B7))-2,3)+0),ROMAN(INT(B7)))),"DCCC"," восемьсот"),"DCC"," семьсот"),"DC"," шестьсот"),"CD"," четыреста"),"XC"," девяносто"),"CCC"," триста"),"CC"," двести"),"D"," пятьсот"),"CM"," девятьсот"),"C"," сто"),"XL"," сорок"),"LXXX"," восемьдесят"),"LXX"," семьдесят"),"LX"," шестьдесят"),"L"," пятьдесят"),"XXX"," тридцать"),"XX"," двадцать"),"XIX"," девятнадцать"),"XVIII"," восемнадцать"),"XVII"," семнадцать"),"XVI"," шестнадцать"),"XV"," пятнадцать"),"XIV"," четырнадцать"),"XIII"," тринадцать"),"XII"," двенадцать"),"XI"," одиннадцать"),"IX"," девять"),"X"," десять"),"VIII"," восемь"),"VII"," семь"),"VI"," шесть"),"IV"," четыре"),"V"," пять"),"III"," три"),"II"," два"),"I"," один"),"один тысяч","одна тысяча"),"два тысяч","две тысячи"),"три тысяч","три тысячи"),"четыре тысяч","четыре тысячи"),"один миллионов","один миллион"),"два миллионов","два миллиона"),"три миллионов","три миллиона"),"четыре миллионов","четыре миллиона")),"миллион тысяч","миллион"),"миллиона тысяч","миллиона"),"миллионов тысяч","миллионов")</f>
        <v/>
      </c>
    </row>
    <row r="8" spans="1:17" x14ac:dyDescent="0.25">
      <c r="A8" s="35" t="s">
        <v>61</v>
      </c>
      <c r="B8" s="79"/>
      <c r="C8" s="80"/>
      <c r="D8" s="36" t="str">
        <f>IF(B8="",Требования!$A$21&amp;" цифрами и прописью",IF(B8&gt;=Требования!C12,Требования!$A$22,Требования!$A$25))</f>
        <v>Необходимо заполнить цифрами и прописью</v>
      </c>
      <c r="Q8" s="25" t="str">
        <f t="shared" si="0"/>
        <v/>
      </c>
    </row>
    <row r="9" spans="1:17" x14ac:dyDescent="0.25">
      <c r="A9" s="35" t="s">
        <v>62</v>
      </c>
      <c r="B9" s="79"/>
      <c r="C9" s="80"/>
      <c r="D9" s="36" t="str">
        <f>IF(B9="",Требования!$A$21&amp;" цифрами и прописью",IF(B9&gt;=Требования!C13,Требования!$A$22,Требования!$A$25))</f>
        <v>Необходимо заполнить цифрами и прописью</v>
      </c>
      <c r="Q9" s="25" t="str">
        <f t="shared" si="0"/>
        <v/>
      </c>
    </row>
    <row r="10" spans="1:17" ht="15.75" thickBot="1" x14ac:dyDescent="0.3">
      <c r="A10" s="37" t="s">
        <v>63</v>
      </c>
      <c r="B10" s="81"/>
      <c r="C10" s="82"/>
      <c r="D10" s="38" t="str">
        <f>IF(B10="",Требования!$A$21&amp;" цифрами и прописью",IF(B10&gt;=Требования!C14,Требования!$A$22,Требования!$A$25))</f>
        <v>Необходимо заполнить цифрами и прописью</v>
      </c>
      <c r="Q10" s="25" t="str">
        <f t="shared" si="0"/>
        <v/>
      </c>
    </row>
    <row r="11" spans="1:17" ht="15.75" thickBot="1" x14ac:dyDescent="0.3">
      <c r="A11" s="27" t="s">
        <v>6</v>
      </c>
      <c r="B11" s="39" t="s">
        <v>4</v>
      </c>
      <c r="C11" s="40" t="s">
        <v>5</v>
      </c>
      <c r="D11" s="41"/>
    </row>
    <row r="12" spans="1:17" x14ac:dyDescent="0.25">
      <c r="A12" s="42" t="s">
        <v>7</v>
      </c>
      <c r="B12" s="83">
        <v>0</v>
      </c>
      <c r="C12" s="86">
        <f t="shared" ref="C12:C13" si="1">B12*$F$1</f>
        <v>0</v>
      </c>
      <c r="D12" s="43"/>
    </row>
    <row r="13" spans="1:17" x14ac:dyDescent="0.25">
      <c r="A13" s="42" t="s">
        <v>8</v>
      </c>
      <c r="B13" s="84">
        <v>0</v>
      </c>
      <c r="C13" s="87">
        <f t="shared" si="1"/>
        <v>0</v>
      </c>
      <c r="D13" s="43"/>
    </row>
    <row r="14" spans="1:17" ht="30" x14ac:dyDescent="0.25">
      <c r="A14" s="44" t="s">
        <v>65</v>
      </c>
      <c r="B14" s="45">
        <f>B12+B13</f>
        <v>0</v>
      </c>
      <c r="C14" s="46">
        <f>C12+C13</f>
        <v>0</v>
      </c>
      <c r="D14" s="36" t="str">
        <f>IF(C14=0,IF(B14=0,"Необходимо заполнить Цену Товара и стоимость доставки",IF('Расчетная цена договора форма'!B14&lt;=Требования!D3,Требования!$A$22,IF('Расчетная цена договора форма'!B14&gt;Требования!D3,Требования!$A$23,"ОШИБКАюани"))),IF(C14=0,"Необходимо заполнить Цену Товара и стоимость доставки",IF('Расчетная цена договора форма'!C14&lt;=Требования!C3,Требования!$A$22,IF('Расчетная цена договора форма'!C14&gt;Требования!C3,Требования!$A$23,"ОШИБКАрубли"))))</f>
        <v>Необходимо заполнить Цену Товара и стоимость доставки</v>
      </c>
    </row>
    <row r="15" spans="1:17" ht="32.25" customHeight="1" thickBot="1" x14ac:dyDescent="0.3">
      <c r="A15" s="47" t="s">
        <v>66</v>
      </c>
      <c r="B15" s="85">
        <v>0</v>
      </c>
      <c r="C15" s="87">
        <f t="shared" ref="C15" si="2">B15*$F$1</f>
        <v>0</v>
      </c>
      <c r="D15" s="48" t="str">
        <f>IF(AND(B15=0,C15=0),"Аванс не требуется/Указать размер аванса, если требуется",IF(B15=0,IF(C15&lt;=C14*Требования!C9,Требования!A22,Требования!A23),IF(B15&lt;=B14*Требования!C9,Требования!A22,Требования!A23)))</f>
        <v>Аванс не требуется/Указать размер аванса, если требуется</v>
      </c>
    </row>
    <row r="16" spans="1:17" ht="16.5" thickBot="1" x14ac:dyDescent="0.3">
      <c r="A16" s="49" t="s">
        <v>3</v>
      </c>
      <c r="B16" s="50"/>
      <c r="C16" s="50"/>
      <c r="D16" s="51"/>
    </row>
    <row r="17" spans="1:4" ht="16.5" thickBot="1" x14ac:dyDescent="0.3">
      <c r="A17" s="52" t="s">
        <v>10</v>
      </c>
      <c r="B17" s="88">
        <v>0</v>
      </c>
      <c r="C17" s="89">
        <f>B17*$F$1</f>
        <v>0</v>
      </c>
      <c r="D17" s="53" t="str">
        <f>IF(C17="0",IF(B17=0,Требования!$A$21,IF('Расчетная цена договора форма'!B17&lt;=Требования!D4,Требования!$A$22,IF('Расчетная цена договора форма'!B17&gt;Требования!D4,Требования!$A$23,"ОШИБКАюани"))),IF(C17=0,Требования!$A$21,IF('Расчетная цена договора форма'!C17&lt;=Требования!C4,Требования!$A$22,IF('Расчетная цена договора форма'!C17&gt;Требования!C4,Требования!$A$23,"ОШИБКАрубли"))))</f>
        <v>Необходимо заполнить</v>
      </c>
    </row>
    <row r="18" spans="1:4" ht="16.5" thickBot="1" x14ac:dyDescent="0.3">
      <c r="A18" s="54" t="s">
        <v>31</v>
      </c>
      <c r="B18" s="55"/>
      <c r="C18" s="55"/>
      <c r="D18" s="24"/>
    </row>
    <row r="19" spans="1:4" ht="16.5" thickBot="1" x14ac:dyDescent="0.3">
      <c r="A19" s="56" t="s">
        <v>9</v>
      </c>
      <c r="B19" s="57" t="s">
        <v>4</v>
      </c>
      <c r="C19" s="58" t="s">
        <v>5</v>
      </c>
      <c r="D19" s="24"/>
    </row>
    <row r="20" spans="1:4" x14ac:dyDescent="0.25">
      <c r="A20" s="59" t="s">
        <v>13</v>
      </c>
      <c r="B20" s="90">
        <v>0</v>
      </c>
      <c r="C20" s="91">
        <f>B20*$F$1</f>
        <v>0</v>
      </c>
      <c r="D20" s="60" t="str">
        <f t="shared" ref="D20:D37" si="3">IF(C20=0,"ТО при наработке в "&amp;A20&amp;" проводить не требуется",IF(C20&gt;0,"Корректно","Ошибка"))</f>
        <v>ТО при наработке в 50 мтч проводить не требуется</v>
      </c>
    </row>
    <row r="21" spans="1:4" x14ac:dyDescent="0.25">
      <c r="A21" s="61" t="s">
        <v>14</v>
      </c>
      <c r="B21" s="90">
        <v>0</v>
      </c>
      <c r="C21" s="91">
        <f t="shared" ref="C21:C37" si="4">B21*$F$1</f>
        <v>0</v>
      </c>
      <c r="D21" s="60" t="str">
        <f t="shared" si="3"/>
        <v>ТО при наработке в 100 мтч проводить не требуется</v>
      </c>
    </row>
    <row r="22" spans="1:4" x14ac:dyDescent="0.25">
      <c r="A22" s="61" t="s">
        <v>15</v>
      </c>
      <c r="B22" s="90">
        <v>0</v>
      </c>
      <c r="C22" s="91">
        <f t="shared" si="4"/>
        <v>0</v>
      </c>
      <c r="D22" s="60" t="str">
        <f t="shared" si="3"/>
        <v>ТО при наработке в 250 мтч проводить не требуется</v>
      </c>
    </row>
    <row r="23" spans="1:4" x14ac:dyDescent="0.25">
      <c r="A23" s="61" t="s">
        <v>16</v>
      </c>
      <c r="B23" s="90">
        <v>0</v>
      </c>
      <c r="C23" s="91">
        <f t="shared" si="4"/>
        <v>0</v>
      </c>
      <c r="D23" s="60" t="str">
        <f t="shared" si="3"/>
        <v>ТО при наработке в 500 мтч проводить не требуется</v>
      </c>
    </row>
    <row r="24" spans="1:4" x14ac:dyDescent="0.25">
      <c r="A24" s="61" t="s">
        <v>17</v>
      </c>
      <c r="B24" s="90">
        <v>0</v>
      </c>
      <c r="C24" s="91">
        <f t="shared" si="4"/>
        <v>0</v>
      </c>
      <c r="D24" s="60" t="str">
        <f t="shared" si="3"/>
        <v>ТО при наработке в 750 мтч проводить не требуется</v>
      </c>
    </row>
    <row r="25" spans="1:4" x14ac:dyDescent="0.25">
      <c r="A25" s="61" t="s">
        <v>18</v>
      </c>
      <c r="B25" s="90">
        <v>0</v>
      </c>
      <c r="C25" s="91">
        <f t="shared" si="4"/>
        <v>0</v>
      </c>
      <c r="D25" s="60" t="str">
        <f t="shared" si="3"/>
        <v>ТО при наработке в 1000 мтч проводить не требуется</v>
      </c>
    </row>
    <row r="26" spans="1:4" x14ac:dyDescent="0.25">
      <c r="A26" s="61" t="s">
        <v>19</v>
      </c>
      <c r="B26" s="90">
        <v>0</v>
      </c>
      <c r="C26" s="91">
        <f t="shared" si="4"/>
        <v>0</v>
      </c>
      <c r="D26" s="60" t="str">
        <f t="shared" si="3"/>
        <v>ТО при наработке в 1250 мтч проводить не требуется</v>
      </c>
    </row>
    <row r="27" spans="1:4" x14ac:dyDescent="0.25">
      <c r="A27" s="61" t="s">
        <v>20</v>
      </c>
      <c r="B27" s="90">
        <v>0</v>
      </c>
      <c r="C27" s="91">
        <f t="shared" si="4"/>
        <v>0</v>
      </c>
      <c r="D27" s="60" t="str">
        <f t="shared" si="3"/>
        <v>ТО при наработке в 1500 мтч проводить не требуется</v>
      </c>
    </row>
    <row r="28" spans="1:4" x14ac:dyDescent="0.25">
      <c r="A28" s="61" t="s">
        <v>21</v>
      </c>
      <c r="B28" s="90">
        <v>0</v>
      </c>
      <c r="C28" s="91">
        <f t="shared" si="4"/>
        <v>0</v>
      </c>
      <c r="D28" s="60" t="str">
        <f t="shared" si="3"/>
        <v>ТО при наработке в 1750 мтч проводить не требуется</v>
      </c>
    </row>
    <row r="29" spans="1:4" x14ac:dyDescent="0.25">
      <c r="A29" s="61" t="s">
        <v>22</v>
      </c>
      <c r="B29" s="90">
        <v>0</v>
      </c>
      <c r="C29" s="91">
        <f t="shared" si="4"/>
        <v>0</v>
      </c>
      <c r="D29" s="60" t="str">
        <f t="shared" si="3"/>
        <v>ТО при наработке в 2000 мтч проводить не требуется</v>
      </c>
    </row>
    <row r="30" spans="1:4" x14ac:dyDescent="0.25">
      <c r="A30" s="61" t="s">
        <v>23</v>
      </c>
      <c r="B30" s="90">
        <v>0</v>
      </c>
      <c r="C30" s="91">
        <f t="shared" si="4"/>
        <v>0</v>
      </c>
      <c r="D30" s="60" t="str">
        <f t="shared" si="3"/>
        <v>ТО при наработке в 2250 мтч проводить не требуется</v>
      </c>
    </row>
    <row r="31" spans="1:4" x14ac:dyDescent="0.25">
      <c r="A31" s="61" t="s">
        <v>24</v>
      </c>
      <c r="B31" s="90">
        <v>0</v>
      </c>
      <c r="C31" s="91">
        <f t="shared" si="4"/>
        <v>0</v>
      </c>
      <c r="D31" s="60" t="str">
        <f t="shared" si="3"/>
        <v>ТО при наработке в 2500 мтч проводить не требуется</v>
      </c>
    </row>
    <row r="32" spans="1:4" x14ac:dyDescent="0.25">
      <c r="A32" s="61" t="s">
        <v>25</v>
      </c>
      <c r="B32" s="90">
        <v>0</v>
      </c>
      <c r="C32" s="91">
        <f t="shared" si="4"/>
        <v>0</v>
      </c>
      <c r="D32" s="60" t="str">
        <f t="shared" si="3"/>
        <v>ТО при наработке в 2750 мтч проводить не требуется</v>
      </c>
    </row>
    <row r="33" spans="1:4" x14ac:dyDescent="0.25">
      <c r="A33" s="61" t="s">
        <v>26</v>
      </c>
      <c r="B33" s="90">
        <v>0</v>
      </c>
      <c r="C33" s="91">
        <f t="shared" si="4"/>
        <v>0</v>
      </c>
      <c r="D33" s="60" t="str">
        <f t="shared" si="3"/>
        <v>ТО при наработке в 3000 мтч проводить не требуется</v>
      </c>
    </row>
    <row r="34" spans="1:4" x14ac:dyDescent="0.25">
      <c r="A34" s="61" t="s">
        <v>27</v>
      </c>
      <c r="B34" s="90">
        <v>0</v>
      </c>
      <c r="C34" s="91">
        <f t="shared" si="4"/>
        <v>0</v>
      </c>
      <c r="D34" s="60" t="str">
        <f t="shared" si="3"/>
        <v>ТО при наработке в 3250 мтч проводить не требуется</v>
      </c>
    </row>
    <row r="35" spans="1:4" x14ac:dyDescent="0.25">
      <c r="A35" s="61" t="s">
        <v>28</v>
      </c>
      <c r="B35" s="90">
        <v>0</v>
      </c>
      <c r="C35" s="91">
        <f t="shared" si="4"/>
        <v>0</v>
      </c>
      <c r="D35" s="60" t="str">
        <f t="shared" si="3"/>
        <v>ТО при наработке в 3500 мтч проводить не требуется</v>
      </c>
    </row>
    <row r="36" spans="1:4" x14ac:dyDescent="0.25">
      <c r="A36" s="61" t="s">
        <v>29</v>
      </c>
      <c r="B36" s="90">
        <v>0</v>
      </c>
      <c r="C36" s="91">
        <f t="shared" si="4"/>
        <v>0</v>
      </c>
      <c r="D36" s="60" t="str">
        <f t="shared" si="3"/>
        <v>ТО при наработке в 3750 мтч проводить не требуется</v>
      </c>
    </row>
    <row r="37" spans="1:4" ht="15.75" thickBot="1" x14ac:dyDescent="0.3">
      <c r="A37" s="61" t="s">
        <v>30</v>
      </c>
      <c r="B37" s="90">
        <v>0</v>
      </c>
      <c r="C37" s="91">
        <f t="shared" si="4"/>
        <v>0</v>
      </c>
      <c r="D37" s="60" t="str">
        <f t="shared" si="3"/>
        <v>ТО при наработке в 4000 мтч проводить не требуется</v>
      </c>
    </row>
    <row r="38" spans="1:4" ht="15.75" thickBot="1" x14ac:dyDescent="0.3">
      <c r="A38" s="62" t="s">
        <v>71</v>
      </c>
      <c r="B38" s="63">
        <f>SUM(B20:B37)</f>
        <v>0</v>
      </c>
      <c r="C38" s="64">
        <f>SUM(C20:C37)</f>
        <v>0</v>
      </c>
      <c r="D38" s="65" t="str">
        <f>IF(C38="0",IF(B38=0,Требования!$A$21&amp;" стоимости проведения ТО",IF('Расчетная цена договора форма'!B38&lt;=Требования!D5,Требования!$A$22,IF('Расчетная цена договора форма'!B38&gt;Требования!D5,Требования!$A$23,"ОШИБКАюани"))),IF(C38=0,Требования!$A$21&amp;" стоимости проведения ТО",IF('Расчетная цена договора форма'!C38&lt;=Требования!C5,Требования!$A$22,IF('Расчетная цена договора форма'!C38&gt;Требования!C5,Требования!$A$23,"ОШИБКАрубли"))))</f>
        <v>Необходимо заполнить стоимости проведения ТО</v>
      </c>
    </row>
    <row r="39" spans="1:4" ht="15.75" thickBot="1" x14ac:dyDescent="0.3">
      <c r="A39" s="62" t="s">
        <v>72</v>
      </c>
      <c r="B39" s="66">
        <f>Требования!C6</f>
        <v>1796461.58</v>
      </c>
      <c r="C39" s="67"/>
      <c r="D39" s="65" t="str">
        <f>IF(B39=Требования!C6,Требования!A22,Требования!A24)</f>
        <v>Корректно</v>
      </c>
    </row>
    <row r="40" spans="1:4" ht="36.75" customHeight="1" thickBot="1" x14ac:dyDescent="0.3">
      <c r="A40" s="68" t="s">
        <v>12</v>
      </c>
      <c r="B40" s="69">
        <f>C14+C38+B39</f>
        <v>1796461.58</v>
      </c>
      <c r="C40" s="70"/>
      <c r="D40" s="71" t="str">
        <f>IF(C14+C38+B39=B40,IF(OR(AND(B40&lt;=Требования!C2,B40=B39),C12=0,C38=0),Требования!A21&amp;" цену товара с учетом доставки и/или стоимость обслуживания",IF(B40&lt;=Требования!C2,Требования!A22,IF(B40&gt;Требования!C2,Требования!A23,IF(C12+C38+B39=B40,Требования!A24,"Расчетная (условная) цена договора расчитана некорректно")))),Требования!A24)</f>
        <v>Необходимо заполнить цену товара с учетом доставки и/или стоимость обслуживания</v>
      </c>
    </row>
    <row r="41" spans="1:4" ht="54" customHeight="1" x14ac:dyDescent="0.25">
      <c r="D41" s="25" t="str">
        <f>IF(AND(D40=Требования!A22,D39=Требования!A22,D38=Требования!A22,D17=Требования!A22,D14=Требования!A22,D4=Требования!A22,C14+C38+B39=B40),"Данные в таблицу перенесены КОРРЕКТНО и соответствуют требованиям документации","Данные в таблицу перенесены НЕКОРРЕКТНО или не соответствуют требованиям документации")</f>
        <v>Данные в таблицу перенесены НЕКОРРЕКТНО или не соответствуют требованиям документации</v>
      </c>
    </row>
    <row r="47" spans="1:4" hidden="1" x14ac:dyDescent="0.25">
      <c r="A47" s="72">
        <f>ROUND(B40,2)</f>
        <v>1796461.58</v>
      </c>
    </row>
  </sheetData>
  <sheetProtection password="CC51" sheet="1" objects="1" scenarios="1"/>
  <mergeCells count="14">
    <mergeCell ref="B39:C39"/>
    <mergeCell ref="B40:C40"/>
    <mergeCell ref="A1:C1"/>
    <mergeCell ref="A2:C2"/>
    <mergeCell ref="B3:C3"/>
    <mergeCell ref="B4:C4"/>
    <mergeCell ref="A16:C16"/>
    <mergeCell ref="A18:C18"/>
    <mergeCell ref="B6:C6"/>
    <mergeCell ref="B7:C7"/>
    <mergeCell ref="B8:C8"/>
    <mergeCell ref="B9:C9"/>
    <mergeCell ref="B10:C10"/>
    <mergeCell ref="A5:C5"/>
  </mergeCells>
  <conditionalFormatting sqref="D2:D5 D11:D39">
    <cfRule type="containsText" dxfId="23" priority="17" operator="containsText" text="Превышение">
      <formula>NOT(ISERROR(SEARCH("Превышение",D2)))</formula>
    </cfRule>
    <cfRule type="containsText" dxfId="22" priority="18" operator="containsText" text="Некорректное">
      <formula>NOT(ISERROR(SEARCH("Некорректное",D2)))</formula>
    </cfRule>
    <cfRule type="containsText" dxfId="21" priority="19" operator="containsText" text="заполнить">
      <formula>NOT(ISERROR(SEARCH("заполнить",D2)))</formula>
    </cfRule>
    <cfRule type="containsText" dxfId="20" priority="20" operator="containsText" text="Корректно">
      <formula>NOT(ISERROR(SEARCH("Корректно",D2)))</formula>
    </cfRule>
  </conditionalFormatting>
  <conditionalFormatting sqref="D3:D5 D11:D39">
    <cfRule type="containsText" dxfId="19" priority="16" operator="containsText" text="Марка не соответствует ТЗ">
      <formula>NOT(ISERROR(SEARCH("Марка не соответствует ТЗ",D3)))</formula>
    </cfRule>
  </conditionalFormatting>
  <conditionalFormatting sqref="D3">
    <cfRule type="containsText" dxfId="18" priority="1" operator="containsText" text="Заполнено">
      <formula>NOT(ISERROR(SEARCH("Заполнено",D3)))</formula>
    </cfRule>
    <cfRule type="containsText" dxfId="17" priority="14" operator="containsText" text="XCMG">
      <formula>NOT(ISERROR(SEARCH("XCMG",D3)))</formula>
    </cfRule>
    <cfRule type="containsText" dxfId="16" priority="15" operator="containsText" text="SANY">
      <formula>NOT(ISERROR(SEARCH("SANY",D3)))</formula>
    </cfRule>
  </conditionalFormatting>
  <conditionalFormatting sqref="D40">
    <cfRule type="containsText" dxfId="15" priority="10" operator="containsText" text="Превышение">
      <formula>NOT(ISERROR(SEARCH("Превышение",D40)))</formula>
    </cfRule>
    <cfRule type="containsText" dxfId="14" priority="11" operator="containsText" text="Некорректное">
      <formula>NOT(ISERROR(SEARCH("Некорректное",D40)))</formula>
    </cfRule>
    <cfRule type="containsText" dxfId="13" priority="12" operator="containsText" text="заполнить">
      <formula>NOT(ISERROR(SEARCH("заполнить",D40)))</formula>
    </cfRule>
    <cfRule type="containsText" dxfId="12" priority="13" operator="containsText" text="Корректно">
      <formula>NOT(ISERROR(SEARCH("Корректно",D40)))</formula>
    </cfRule>
  </conditionalFormatting>
  <conditionalFormatting sqref="D40">
    <cfRule type="containsText" dxfId="11" priority="9" operator="containsText" text="Марка не соответствует ТЗ">
      <formula>NOT(ISERROR(SEARCH("Марка не соответствует ТЗ",D40)))</formula>
    </cfRule>
  </conditionalFormatting>
  <conditionalFormatting sqref="D40">
    <cfRule type="containsText" dxfId="10" priority="8" operator="containsText" text="ЛОЖЬ">
      <formula>NOT(ISERROR(SEARCH("ЛОЖЬ",D40)))</formula>
    </cfRule>
  </conditionalFormatting>
  <conditionalFormatting sqref="D6:D10">
    <cfRule type="containsText" dxfId="9" priority="2" operator="containsText" text="нарушение">
      <formula>NOT(ISERROR(SEARCH("нарушение",D6)))</formula>
    </cfRule>
    <cfRule type="containsText" dxfId="8" priority="4" operator="containsText" text="Превышение">
      <formula>NOT(ISERROR(SEARCH("Превышение",D6)))</formula>
    </cfRule>
    <cfRule type="containsText" dxfId="7" priority="5" operator="containsText" text="Некорректное">
      <formula>NOT(ISERROR(SEARCH("Некорректное",D6)))</formula>
    </cfRule>
    <cfRule type="containsText" dxfId="6" priority="6" operator="containsText" text="заполнить">
      <formula>NOT(ISERROR(SEARCH("заполнить",D6)))</formula>
    </cfRule>
    <cfRule type="containsText" dxfId="5" priority="7" operator="containsText" text="Корректно">
      <formula>NOT(ISERROR(SEARCH("Корректно",D6)))</formula>
    </cfRule>
  </conditionalFormatting>
  <conditionalFormatting sqref="D6:D10">
    <cfRule type="containsText" dxfId="4" priority="3" operator="containsText" text="Марка не соответствует ТЗ">
      <formula>NOT(ISERROR(SEARCH("Марка не соответствует ТЗ",D6)))</formula>
    </cfRule>
  </conditionalFormatting>
  <conditionalFormatting sqref="C17">
    <cfRule type="cellIs" dxfId="3" priority="25" operator="greaterThan">
      <formula>#REF!</formula>
    </cfRule>
  </conditionalFormatting>
  <conditionalFormatting sqref="B38">
    <cfRule type="cellIs" dxfId="2" priority="26" operator="greaterThan">
      <formula>#REF!</formula>
    </cfRule>
  </conditionalFormatting>
  <conditionalFormatting sqref="C38">
    <cfRule type="cellIs" dxfId="1" priority="27" operator="greaterThan">
      <formula>#REF!</formula>
    </cfRule>
  </conditionalFormatting>
  <conditionalFormatting sqref="B40:C40">
    <cfRule type="cellIs" dxfId="0" priority="28" operator="greaterThan">
      <formula>#REF!</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8A6CB-70E9-4DF0-9C17-C4A413404A20}">
  <sheetPr>
    <tabColor rgb="FF00FF00"/>
  </sheetPr>
  <dimension ref="A1:B8"/>
  <sheetViews>
    <sheetView workbookViewId="0">
      <selection activeCell="B2" sqref="B2"/>
    </sheetView>
  </sheetViews>
  <sheetFormatPr defaultRowHeight="15" x14ac:dyDescent="0.25"/>
  <cols>
    <col min="1" max="1" width="39.140625" customWidth="1"/>
    <col min="2" max="2" width="48.85546875" customWidth="1"/>
  </cols>
  <sheetData>
    <row r="1" spans="1:2" ht="16.5" x14ac:dyDescent="0.25">
      <c r="A1" s="6" t="s">
        <v>52</v>
      </c>
      <c r="B1" s="6" t="s">
        <v>53</v>
      </c>
    </row>
    <row r="2" spans="1:2" ht="30" x14ac:dyDescent="0.25">
      <c r="A2" s="17" t="s">
        <v>75</v>
      </c>
      <c r="B2" s="10" t="str">
        <f>IF('Расчетная цена договора форма'!B14=0,'Расчетная цена договора форма'!C14&amp;" рублей без НДС",'Расчетная цена договора форма'!B14&amp;" юаней без НДС")</f>
        <v>0 рублей без НДС</v>
      </c>
    </row>
    <row r="3" spans="1:2" ht="49.5" x14ac:dyDescent="0.25">
      <c r="A3" s="15" t="s">
        <v>78</v>
      </c>
      <c r="B3" s="8" t="str">
        <f>IF('Расчетная цена договора форма'!B38=0,'Расчетная цена договора форма'!C38&amp;" рублей без НДС",'Расчетная цена договора форма'!B38&amp;" юаней без НДС")</f>
        <v>0 рублей без НДС</v>
      </c>
    </row>
    <row r="4" spans="1:2" ht="44.25" customHeight="1" x14ac:dyDescent="0.25">
      <c r="A4" s="15" t="s">
        <v>68</v>
      </c>
      <c r="B4" s="16" t="str">
        <f>IF('Расчетная цена договора форма'!B15=0,'Расчетная цена договора форма'!C15&amp;" рублей без НДС",'Расчетная цена договора форма'!B15&amp;" юаней без НДС")</f>
        <v>0 рублей без НДС</v>
      </c>
    </row>
    <row r="5" spans="1:2" ht="33" x14ac:dyDescent="0.25">
      <c r="A5" s="6" t="s">
        <v>76</v>
      </c>
      <c r="B5" s="8" t="str">
        <f>IF('Расчетная цена договора форма'!B17=0,'Расчетная цена договора форма'!C17&amp;" рублей без НДС",'Расчетная цена договора форма'!B17&amp;" юаней без НДС")</f>
        <v>0 рублей без НДС</v>
      </c>
    </row>
    <row r="6" spans="1:2" ht="33" x14ac:dyDescent="0.25">
      <c r="A6" s="9" t="s">
        <v>73</v>
      </c>
      <c r="B6" s="11">
        <f>'Расчетная цена договора форма'!B39:C39</f>
        <v>1796461.58</v>
      </c>
    </row>
    <row r="7" spans="1:2" ht="99" customHeight="1" x14ac:dyDescent="0.25">
      <c r="A7" s="6" t="s">
        <v>74</v>
      </c>
      <c r="B7" s="8" t="str">
        <f>'Расчетная цена договора форма'!B4&amp;" календарных дней с даты подписания договора"</f>
        <v xml:space="preserve"> календарных дней с даты подписания договора</v>
      </c>
    </row>
    <row r="8" spans="1:2" ht="30" x14ac:dyDescent="0.25">
      <c r="A8" s="14" t="s">
        <v>77</v>
      </c>
      <c r="B8" s="7" t="str">
        <f>'Расчетная цена договора форма'!A47&amp;" рублей без НДС"</f>
        <v>1796461,58 рублей без НДС</v>
      </c>
    </row>
  </sheetData>
  <sheetProtection password="CC51"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34288-4DEE-4D35-8077-D5305EA0D79F}">
  <sheetPr>
    <tabColor rgb="FF00FF00"/>
  </sheetPr>
  <dimension ref="A1:J11"/>
  <sheetViews>
    <sheetView topLeftCell="A5" workbookViewId="0">
      <selection activeCell="A5" sqref="A5:J11"/>
    </sheetView>
  </sheetViews>
  <sheetFormatPr defaultRowHeight="15" x14ac:dyDescent="0.25"/>
  <sheetData>
    <row r="1" spans="1:10" hidden="1" x14ac:dyDescent="0.25">
      <c r="A1" t="str">
        <f>"Гарантийный срок нормального функционирования поставляемого Товара, в течение которой должна быть обеспечена возможность эксплуатации Товара в соответствии с Договором (приложение № 5 к документации о закупке) и технической документацией на Товар,"</f>
        <v>Гарантийный срок нормального функционирования поставляемого Товара, в течение которой должна быть обеспечена возможность эксплуатации Товара в соответствии с Договором (приложение № 5 к документации о закупке) и технической документацией на Товар,</v>
      </c>
    </row>
    <row r="2" spans="1:10" hidden="1" x14ac:dyDescent="0.25">
      <c r="A2" t="str">
        <f>" включая комплектующие узлы и детали, составляет "&amp;'Расчетная цена договора форма'!B6&amp;" ("&amp;'Расчетная цена договора форма'!Q6&amp;")  месяца или  "&amp;'Расчетная цена договора форма'!B7&amp;" ("&amp;'Расчетная цена договора форма'!Q7&amp;") моточасов (в зависимости от того, что наступает ранее)"</f>
        <v xml:space="preserve"> включая комплектующие узлы и детали, составляет  ()  месяца или   () моточасов (в зависимости от того, что наступает ранее)</v>
      </c>
    </row>
    <row r="3" spans="1:10" hidden="1" x14ac:dyDescent="0.25">
      <c r="A3" t="str">
        <f>", гарантия на шины "&amp;'Расчетная цена договора форма'!B8&amp;" ("&amp;'Расчетная цена договора форма'!Q8&amp;") моточасов, гарантия на металлоконструкцию стрелы "&amp;'Расчетная цена договора форма'!B9&amp;" ("&amp;'Расчетная цена договора форма'!Q9&amp;") моточасов, гарантия на покраску Товара "&amp;'Расчетная цена договора форма'!B10&amp;" ("&amp;'Расчетная цена договора форма'!Q10&amp;") месяцев."</f>
        <v>, гарантия на шины  () моточасов, гарантия на металлоконструкцию стрелы  () моточасов, гарантия на покраску Товара  () месяцев.</v>
      </c>
    </row>
    <row r="4" spans="1:10" hidden="1" x14ac:dyDescent="0.25">
      <c r="A4" t="str">
        <f>" Течение срока гарантии во всех указанных случаях начинается с даты подписания Акта приема-передачи Товара, или УПД, или товарной накладной (форма № ТОРГ–12)."</f>
        <v xml:space="preserve"> Течение срока гарантии во всех указанных случаях начинается с даты подписания Акта приема-передачи Товара, или УПД, или товарной накладной (форма № ТОРГ–12).</v>
      </c>
    </row>
    <row r="5" spans="1:10" s="13" customFormat="1" ht="21.75" customHeight="1" x14ac:dyDescent="0.25">
      <c r="A5" s="18" t="str">
        <f>A1&amp;A2&amp;A3&amp;A4</f>
        <v>Гарантийный срок нормального функционирования поставляемого Товара, в течение которой должна быть обеспечена возможность эксплуатации Товара в соответствии с Договором (приложение № 5 к документации о закупке) и технической документацией на Товар, включая комплектующие узлы и детали, составляет  ()  месяца или   () моточасов (в зависимости от того, что наступает ранее), гарантия на шины  () моточасов, гарантия на металлоконструкцию стрелы  () моточасов, гарантия на покраску Товара  () месяцев. Течение срока гарантии во всех указанных случаях начинается с даты подписания Акта приема-передачи Товара, или УПД, или товарной накладной (форма № ТОРГ–12).</v>
      </c>
      <c r="B5" s="18"/>
      <c r="C5" s="18"/>
      <c r="D5" s="18"/>
      <c r="E5" s="18"/>
      <c r="F5" s="18"/>
      <c r="G5" s="18"/>
      <c r="H5" s="18"/>
      <c r="I5" s="18"/>
      <c r="J5" s="18"/>
    </row>
    <row r="6" spans="1:10" s="13" customFormat="1" ht="21.75" customHeight="1" x14ac:dyDescent="0.25">
      <c r="A6" s="18"/>
      <c r="B6" s="18"/>
      <c r="C6" s="18"/>
      <c r="D6" s="18"/>
      <c r="E6" s="18"/>
      <c r="F6" s="18"/>
      <c r="G6" s="18"/>
      <c r="H6" s="18"/>
      <c r="I6" s="18"/>
      <c r="J6" s="18"/>
    </row>
    <row r="7" spans="1:10" s="13" customFormat="1" ht="21.75" customHeight="1" x14ac:dyDescent="0.25">
      <c r="A7" s="18"/>
      <c r="B7" s="18"/>
      <c r="C7" s="18"/>
      <c r="D7" s="18"/>
      <c r="E7" s="18"/>
      <c r="F7" s="18"/>
      <c r="G7" s="18"/>
      <c r="H7" s="18"/>
      <c r="I7" s="18"/>
      <c r="J7" s="18"/>
    </row>
    <row r="8" spans="1:10" s="13" customFormat="1" ht="21.75" customHeight="1" x14ac:dyDescent="0.25">
      <c r="A8" s="18"/>
      <c r="B8" s="18"/>
      <c r="C8" s="18"/>
      <c r="D8" s="18"/>
      <c r="E8" s="18"/>
      <c r="F8" s="18"/>
      <c r="G8" s="18"/>
      <c r="H8" s="18"/>
      <c r="I8" s="18"/>
      <c r="J8" s="18"/>
    </row>
    <row r="9" spans="1:10" s="13" customFormat="1" ht="21.75" customHeight="1" x14ac:dyDescent="0.25">
      <c r="A9" s="18"/>
      <c r="B9" s="18"/>
      <c r="C9" s="18"/>
      <c r="D9" s="18"/>
      <c r="E9" s="18"/>
      <c r="F9" s="18"/>
      <c r="G9" s="18"/>
      <c r="H9" s="18"/>
      <c r="I9" s="18"/>
      <c r="J9" s="18"/>
    </row>
    <row r="10" spans="1:10" s="13" customFormat="1" ht="21.75" customHeight="1" x14ac:dyDescent="0.25">
      <c r="A10" s="18"/>
      <c r="B10" s="18"/>
      <c r="C10" s="18"/>
      <c r="D10" s="18"/>
      <c r="E10" s="18"/>
      <c r="F10" s="18"/>
      <c r="G10" s="18"/>
      <c r="H10" s="18"/>
      <c r="I10" s="18"/>
      <c r="J10" s="18"/>
    </row>
    <row r="11" spans="1:10" s="13" customFormat="1" ht="21.75" customHeight="1" x14ac:dyDescent="0.25">
      <c r="A11" s="18"/>
      <c r="B11" s="18"/>
      <c r="C11" s="18"/>
      <c r="D11" s="18"/>
      <c r="E11" s="18"/>
      <c r="F11" s="18"/>
      <c r="G11" s="18"/>
      <c r="H11" s="18"/>
      <c r="I11" s="18"/>
      <c r="J11" s="18"/>
    </row>
  </sheetData>
  <sheetProtection password="CC51" sheet="1" objects="1" scenarios="1"/>
  <mergeCells count="1">
    <mergeCell ref="A5:J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Требования</vt:lpstr>
      <vt:lpstr>Расчетная цена договора форма</vt:lpstr>
      <vt:lpstr>Таблица № 1 ФКП</vt:lpstr>
      <vt:lpstr>П.3 ФКП</vt:lpstr>
      <vt:lpstr>'Таблица № 1 ФКП'!_ftnref1</vt:lpstr>
      <vt:lpstr>'Таблица № 1 ФКП'!_ftnref2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Мальгинов</dc:creator>
  <cp:lastModifiedBy>Терехова Вероника Юрьевна</cp:lastModifiedBy>
  <dcterms:created xsi:type="dcterms:W3CDTF">2015-06-05T18:19:34Z</dcterms:created>
  <dcterms:modified xsi:type="dcterms:W3CDTF">2024-05-02T09:54:19Z</dcterms:modified>
</cp:coreProperties>
</file>